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PV\VLI\Wahl VLI 2014\Wahlergebnis 2014\"/>
    </mc:Choice>
  </mc:AlternateContent>
  <bookViews>
    <workbookView xWindow="120" yWindow="120" windowWidth="13980" windowHeight="9120"/>
  </bookViews>
  <sheets>
    <sheet name="W 2014" sheetId="14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D20" i="14" l="1"/>
  <c r="D21" i="14"/>
  <c r="D22" i="14"/>
  <c r="D23" i="14"/>
  <c r="D19" i="14"/>
  <c r="X7" i="14" l="1"/>
  <c r="W7" i="14"/>
  <c r="V7" i="14"/>
  <c r="U7" i="14"/>
  <c r="T7" i="14"/>
  <c r="E24" i="14"/>
  <c r="G24" i="14" s="1"/>
  <c r="G12" i="14"/>
  <c r="G10" i="14"/>
  <c r="G11" i="14"/>
  <c r="G13" i="14"/>
  <c r="G9" i="14"/>
  <c r="W10" i="14" l="1"/>
  <c r="X9" i="14"/>
  <c r="X6" i="14"/>
  <c r="W6" i="14"/>
  <c r="V6" i="14"/>
  <c r="U6" i="14"/>
  <c r="T6" i="14"/>
  <c r="V11" i="14" l="1"/>
  <c r="V14" i="14"/>
  <c r="W13" i="14"/>
  <c r="W9" i="14"/>
  <c r="X12" i="14"/>
  <c r="X8" i="14"/>
  <c r="X11" i="14"/>
  <c r="X14" i="14"/>
  <c r="X10" i="14"/>
  <c r="X13" i="14"/>
  <c r="W12" i="14"/>
  <c r="W8" i="14"/>
  <c r="W11" i="14"/>
  <c r="W14" i="14"/>
  <c r="V9" i="14"/>
  <c r="V13" i="14"/>
  <c r="V12" i="14"/>
  <c r="V10" i="14"/>
  <c r="V8" i="14"/>
  <c r="U14" i="14"/>
  <c r="T8" i="14" l="1"/>
  <c r="T9" i="14"/>
  <c r="T10" i="14"/>
  <c r="T11" i="14"/>
  <c r="T12" i="14"/>
  <c r="T13" i="14"/>
  <c r="T14" i="14"/>
  <c r="U8" i="14"/>
  <c r="U9" i="14"/>
  <c r="U10" i="14"/>
  <c r="U11" i="14"/>
  <c r="U12" i="14"/>
  <c r="U13" i="14"/>
  <c r="AA9" i="14" l="1"/>
  <c r="AA11" i="14"/>
  <c r="AA7" i="14"/>
  <c r="AA14" i="14"/>
  <c r="AA8" i="14"/>
  <c r="AA13" i="14"/>
  <c r="AA12" i="14"/>
  <c r="AA10" i="14"/>
  <c r="V4" i="14" l="1"/>
  <c r="H12" i="14" l="1"/>
  <c r="H11" i="14"/>
  <c r="H10" i="14"/>
  <c r="H13" i="14"/>
  <c r="H9" i="14"/>
  <c r="H15" i="14" l="1"/>
  <c r="H14" i="14"/>
  <c r="I10" i="14" l="1"/>
  <c r="I12" i="14"/>
  <c r="I7" i="14"/>
  <c r="N10" i="14"/>
  <c r="O10" i="14" s="1"/>
  <c r="P10" i="14" s="1"/>
  <c r="G6" i="14"/>
  <c r="M7" i="14"/>
  <c r="L11" i="14"/>
  <c r="K11" i="14"/>
  <c r="J10" i="14"/>
  <c r="J14" i="14"/>
  <c r="N6" i="14"/>
  <c r="L13" i="14"/>
  <c r="K12" i="14"/>
  <c r="J11" i="14"/>
  <c r="J9" i="14"/>
  <c r="N7" i="14"/>
  <c r="O6" i="14"/>
  <c r="L9" i="14"/>
  <c r="K13" i="14"/>
  <c r="N12" i="14"/>
  <c r="O12" i="14" s="1"/>
  <c r="P12" i="14" s="1"/>
  <c r="K6" i="14"/>
  <c r="L10" i="14"/>
  <c r="K9" i="14"/>
  <c r="L12" i="14"/>
  <c r="J12" i="14"/>
  <c r="K10" i="14"/>
  <c r="J13" i="14"/>
  <c r="I11" i="14"/>
  <c r="N11" i="14" s="1"/>
  <c r="O11" i="14" s="1"/>
  <c r="P11" i="14" s="1"/>
  <c r="I13" i="14"/>
  <c r="N13" i="14" s="1"/>
  <c r="O13" i="14" s="1"/>
  <c r="P13" i="14" s="1"/>
  <c r="I9" i="14"/>
  <c r="I14" i="14" l="1"/>
  <c r="K14" i="14" s="1"/>
  <c r="J6" i="14" s="1"/>
  <c r="N9" i="14"/>
  <c r="O9" i="14" l="1"/>
  <c r="P9" i="14" s="1"/>
  <c r="N14" i="14"/>
  <c r="O14" i="14" l="1"/>
  <c r="P14" i="14" s="1"/>
</calcChain>
</file>

<file path=xl/comments1.xml><?xml version="1.0" encoding="utf-8"?>
<comments xmlns="http://schemas.openxmlformats.org/spreadsheetml/2006/main">
  <authors>
    <author>Manfred Sparr</author>
  </authors>
  <commentList>
    <comment ref="B6" authorId="0" shapeId="0">
      <text>
        <r>
          <rPr>
            <b/>
            <sz val="9"/>
            <color indexed="81"/>
            <rFont val="Segoe UI"/>
            <family val="2"/>
          </rPr>
          <t>VLI:</t>
        </r>
        <r>
          <rPr>
            <sz val="9"/>
            <color indexed="81"/>
            <rFont val="Segoe UI"/>
            <family val="2"/>
          </rPr>
          <t xml:space="preserve">
Berechnung der Mitgliederanzahl von DA/VPA:
• 20 - 50 Bundesbedienstete ...….. 3 Mitglieder
• 51 - 100 Bundesbedienstete ……. 4 Mitglieder
• 101 - 200 Bundesbedienstete…….. 5 Mitglieder
• 201 - 300 Bundesbedienstete…….. 6 Mitglieder
• 301 - 400 Bundesbedienstete…….. 7 Mitglieder
• 401 - 500 Bundesbedienstete…….. 8 Mitglieder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</rPr>
          <t>VLI:</t>
        </r>
        <r>
          <rPr>
            <sz val="9"/>
            <color indexed="81"/>
            <rFont val="Segoe UI"/>
            <family val="2"/>
          </rPr>
          <t xml:space="preserve">
Erläuterungen siehe unten: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>VLI:</t>
        </r>
        <r>
          <rPr>
            <sz val="9"/>
            <color indexed="81"/>
            <rFont val="Segoe UI"/>
            <family val="2"/>
          </rPr>
          <t xml:space="preserve">
Ergebnis der Verlosung des/der Mandate/s hier eintragen</t>
        </r>
      </text>
    </comment>
  </commentList>
</comments>
</file>

<file path=xl/sharedStrings.xml><?xml version="1.0" encoding="utf-8"?>
<sst xmlns="http://schemas.openxmlformats.org/spreadsheetml/2006/main" count="26" uniqueCount="22">
  <si>
    <t>Stimmen</t>
  </si>
  <si>
    <t>Mandate</t>
  </si>
  <si>
    <t>Mandatsrechner</t>
  </si>
  <si>
    <t>Eingabe</t>
  </si>
  <si>
    <t>Anzahl der zu besetzenden Mandate:</t>
  </si>
  <si>
    <t>davon gültige Stimmzettel</t>
  </si>
  <si>
    <t>Abgegebene Stimmzettel gesamt</t>
  </si>
  <si>
    <t>Kurzbezeichnung der 1. Liste:</t>
  </si>
  <si>
    <t>Kurzbezeichnung der 2. Liste:</t>
  </si>
  <si>
    <t>Kurzbezeichnung der 3. Liste:</t>
  </si>
  <si>
    <t>Kurzbezeichnung der 4. Liste:</t>
  </si>
  <si>
    <t>Kurzbezeichnung der 5. Liste:</t>
  </si>
  <si>
    <t>EINS</t>
  </si>
  <si>
    <t>SUPER</t>
  </si>
  <si>
    <t>Berechnung Wahlzahl</t>
  </si>
  <si>
    <t>Personalvertretungswahl 2014</t>
  </si>
  <si>
    <t>Ergebnis</t>
  </si>
  <si>
    <t>Liste</t>
  </si>
  <si>
    <t>Davon fallen auf :</t>
  </si>
  <si>
    <t>Gesamt:</t>
  </si>
  <si>
    <t>Summe:</t>
  </si>
  <si>
    <t>BEST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</si>
</sst>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* #,##0\ _€_-;\-* #,##0\ _€_-;_-* &quot;-&quot;??\ _€_-;_-@_-"/>
    <numFmt numFmtId="169" formatCode="_-* #,##0.0000_-;\-* #,##0.000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rgb="FFFF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Arial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007E"/>
        <bgColor indexed="64"/>
      </patternFill>
    </fill>
    <fill>
      <gradientFill degree="270">
        <stop position="0">
          <color theme="0"/>
        </stop>
        <stop position="1">
          <color rgb="FFE6007E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1" applyFont="1"/>
    <xf numFmtId="0" fontId="2" fillId="0" borderId="0" xfId="0" applyFont="1"/>
    <xf numFmtId="166" fontId="2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66" fontId="2" fillId="0" borderId="0" xfId="1" applyNumberFormat="1" applyFont="1" applyFill="1"/>
    <xf numFmtId="166" fontId="2" fillId="0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/>
    <xf numFmtId="166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/>
    <xf numFmtId="164" fontId="2" fillId="2" borderId="0" xfId="1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2" fillId="2" borderId="0" xfId="0" applyFont="1" applyFill="1" applyAlignme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64" fontId="4" fillId="5" borderId="12" xfId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164" fontId="4" fillId="5" borderId="16" xfId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14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2" fillId="2" borderId="34" xfId="0" applyFont="1" applyFill="1" applyBorder="1"/>
    <xf numFmtId="0" fontId="5" fillId="2" borderId="35" xfId="0" applyFont="1" applyFill="1" applyBorder="1" applyAlignment="1">
      <alignment horizontal="left" vertical="center"/>
    </xf>
    <xf numFmtId="0" fontId="3" fillId="5" borderId="18" xfId="1" applyNumberFormat="1" applyFont="1" applyFill="1" applyBorder="1" applyAlignment="1">
      <alignment horizontal="center"/>
    </xf>
    <xf numFmtId="0" fontId="3" fillId="5" borderId="36" xfId="1" applyNumberFormat="1" applyFont="1" applyFill="1" applyBorder="1" applyAlignment="1">
      <alignment horizontal="center"/>
    </xf>
    <xf numFmtId="0" fontId="3" fillId="5" borderId="1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164" fontId="0" fillId="2" borderId="0" xfId="1" applyFont="1" applyFill="1"/>
    <xf numFmtId="164" fontId="0" fillId="2" borderId="0" xfId="1" applyFont="1" applyFill="1" applyAlignment="1">
      <alignment vertical="center"/>
    </xf>
    <xf numFmtId="164" fontId="2" fillId="2" borderId="0" xfId="1" applyFont="1" applyFill="1" applyAlignment="1">
      <alignment horizontal="center" vertical="center"/>
    </xf>
    <xf numFmtId="169" fontId="2" fillId="2" borderId="0" xfId="1" applyNumberFormat="1" applyFont="1" applyFill="1"/>
    <xf numFmtId="165" fontId="0" fillId="2" borderId="0" xfId="1" applyNumberFormat="1" applyFont="1" applyFill="1"/>
    <xf numFmtId="164" fontId="4" fillId="3" borderId="6" xfId="1" applyFont="1" applyFill="1" applyBorder="1" applyAlignment="1">
      <alignment vertical="center"/>
    </xf>
    <xf numFmtId="164" fontId="4" fillId="3" borderId="6" xfId="1" applyFont="1" applyFill="1" applyBorder="1" applyAlignment="1">
      <alignment horizontal="center" vertical="center"/>
    </xf>
    <xf numFmtId="164" fontId="2" fillId="3" borderId="6" xfId="1" applyFont="1" applyFill="1" applyBorder="1" applyAlignment="1">
      <alignment vertical="center"/>
    </xf>
    <xf numFmtId="164" fontId="0" fillId="3" borderId="6" xfId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006BA9"/>
      <color rgb="FFE6007E"/>
      <color rgb="FF215968"/>
      <color rgb="FF3891A6"/>
      <color rgb="FFDDA29F"/>
      <color rgb="FF3CA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16</xdr:row>
      <xdr:rowOff>28575</xdr:rowOff>
    </xdr:from>
    <xdr:to>
      <xdr:col>8</xdr:col>
      <xdr:colOff>476250</xdr:colOff>
      <xdr:row>18</xdr:row>
      <xdr:rowOff>158115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3686175"/>
          <a:ext cx="1905000" cy="586740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19</xdr:row>
      <xdr:rowOff>95250</xdr:rowOff>
    </xdr:from>
    <xdr:to>
      <xdr:col>15</xdr:col>
      <xdr:colOff>485775</xdr:colOff>
      <xdr:row>23</xdr:row>
      <xdr:rowOff>75079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4438650"/>
          <a:ext cx="5067300" cy="894229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25</xdr:row>
      <xdr:rowOff>19050</xdr:rowOff>
    </xdr:from>
    <xdr:ext cx="9525000" cy="10096995"/>
    <xdr:sp macro="" textlink="">
      <xdr:nvSpPr>
        <xdr:cNvPr id="4" name="Textfeld 3"/>
        <xdr:cNvSpPr txBox="1"/>
      </xdr:nvSpPr>
      <xdr:spPr>
        <a:xfrm>
          <a:off x="19050" y="5791200"/>
          <a:ext cx="9525000" cy="10096995"/>
        </a:xfrm>
        <a:prstGeom prst="rect">
          <a:avLst/>
        </a:prstGeom>
        <a:solidFill>
          <a:srgbClr val="006BA9">
            <a:alpha val="51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Ermittlung der Wahlergebnisse*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Dieses Programm berechnet die Mandate automatisch. Du brauchst nur die geforderten Daten eingeben (graue Felder)</a:t>
          </a:r>
        </a:p>
        <a:p>
          <a:endParaRPr lang="de-DE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Erläuterungen zur Berechnung:</a:t>
          </a:r>
        </a:p>
        <a:p>
          <a:endParaRPr lang="de-DE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&gt; Berechnen der DA/VPA-Wahlzahl in Dezimalen und ermitteln der Anzahl der auf die Wählergruppen entfallenden DA/VPA-Mandate mittels der Wahlzahl gem. § 20 (8) B-PVG und § 24 B-PV-WO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&gt; Für die Berechnung der Wahlzahl sind mehrfach vorkommende, gleich große Zahlen auch mehrfach zu schreiben und mehrfach zu zählen. (Bsp. 4 + 5 betreffen Losentscheidungen)</a:t>
          </a:r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&gt; Losentscheidung bei gleichem Anspruch mehrerer Wählergruppen auf ein Mandat (§ 20 (8) lit. c B-PVG)</a:t>
          </a:r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Beispiel 1</a:t>
          </a:r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52 Bedienstete, daher 4 Mandate;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49 gültige Stimmen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Wählergruppe: A B C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Stimmen: A= 27       B=17    C= 5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1/2     13,5        8,5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1/3:    9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1/4:    6,75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Wahlzahl = 9 = 4. größte angeschriebene Zahl (27; 17; 13,5; 9)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A……27 : 9 = 3 Mandate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B……17 : 9 = 1 Mandat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C……..5 : 9 = 0 Mandate</a:t>
          </a:r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Beispiel 2</a:t>
          </a:r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210 Bedienstete, daher 6 Mandate; 181 gültige Stimmen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Wählergruppe:   A B C D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Stimmen: A=85    B=55    C=21    D=20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1/2: 42,5     27,5      10,5     10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1/3: 28,33  18,33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1/4: 21,25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1/5: 17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Wahlzahl = 21,25 = 6. gr. angesch. Zahl (85;55;42,5;28,33;27,5;21,25)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A…….85 : 21,25 = 4 Mandate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B…….55 : 21,25 = 2 Mandate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C…….21 : 21,25 = 0 Mandate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D…….20 : 21,25 = 0 Mandate</a:t>
          </a:r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LOSENTSCHEIDUNG:</a:t>
          </a:r>
          <a:endParaRPr lang="de-DE" sz="1400" b="1">
            <a:effectLst/>
          </a:endParaRPr>
        </a:p>
        <a:p>
          <a:r>
            <a:rPr lang="de-D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Wenn laut Berechnung mehr als die zulässige Anzahl von Mandaten ergibt, muss die Entscheidung per Los erfolgen.</a:t>
          </a:r>
          <a:endParaRPr lang="de-DE" sz="1200">
            <a:effectLst/>
          </a:endParaRPr>
        </a:p>
        <a:p>
          <a:r>
            <a:rPr lang="de-D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Losentscheidung bei gleichem Anspruch mehrerer Wählergruppen auf ein Mandat (§ 20 (8) lit. c B-PVG)</a:t>
          </a:r>
          <a:endParaRPr lang="de-DE" sz="1200">
            <a:effectLst/>
          </a:endParaRPr>
        </a:p>
        <a:p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Beispiel 3</a:t>
          </a:r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52 Bedienstete, daher 4 Mandate; 49 gültige Stimmen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Wählergruppe: A B C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Stimmen:   A=27    B=18    C=4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1/2: 13,5        9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1/3:   9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1/4:   6,75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Wahlzahl = 9 = 4. größte angeschriebene Zahl (27; 18; 13,5; 9)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A……27 : 9 = (3) 2 Mandate +?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B……18 : 9 = (2) 1 Mandate +?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C……..4 : 9 = 0 Mandate</a:t>
          </a: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5 Mandate errechnet, aber nur 4 zu vergeben. Daher ist das jeweils letzte Mandat von A und B der Losentscheidung zuzuführen.</a:t>
          </a:r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200" b="1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* Quelle: Skriptum ZWA, Dr. Susanne Amelunxen</a:t>
          </a:r>
        </a:p>
        <a:p>
          <a:endParaRPr lang="de-DE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35"/>
  <sheetViews>
    <sheetView showGridLines="0" showRowColHeaders="0" tabSelected="1" zoomScaleNormal="100" workbookViewId="0">
      <selection activeCell="E20" sqref="E20"/>
    </sheetView>
  </sheetViews>
  <sheetFormatPr baseColWidth="10" defaultRowHeight="12.75" x14ac:dyDescent="0.2"/>
  <cols>
    <col min="1" max="1" width="3" customWidth="1"/>
    <col min="2" max="2" width="8" customWidth="1"/>
    <col min="3" max="3" width="21.5703125" customWidth="1"/>
    <col min="4" max="4" width="8.5703125" customWidth="1"/>
    <col min="6" max="6" width="11.7109375" customWidth="1"/>
    <col min="8" max="8" width="11.5703125" customWidth="1"/>
    <col min="9" max="9" width="12" customWidth="1"/>
    <col min="10" max="10" width="4.5703125" customWidth="1"/>
    <col min="11" max="11" width="4.42578125" customWidth="1"/>
    <col min="12" max="12" width="4.5703125" customWidth="1"/>
    <col min="13" max="13" width="13.140625" customWidth="1"/>
    <col min="14" max="14" width="4.42578125" customWidth="1"/>
    <col min="15" max="15" width="4.28515625" customWidth="1"/>
    <col min="16" max="16" width="11.42578125" customWidth="1"/>
    <col min="17" max="18" width="2.5703125" customWidth="1"/>
    <col min="19" max="19" width="6.7109375" customWidth="1"/>
    <col min="20" max="20" width="11.28515625" style="1" customWidth="1"/>
    <col min="21" max="21" width="12.28515625" style="1" customWidth="1"/>
    <col min="22" max="23" width="12.140625" style="1" customWidth="1"/>
    <col min="24" max="24" width="10.85546875" style="1"/>
    <col min="25" max="25" width="2.7109375" style="1" customWidth="1"/>
    <col min="26" max="26" width="3.7109375" customWidth="1"/>
    <col min="27" max="27" width="12.5703125" customWidth="1"/>
  </cols>
  <sheetData>
    <row r="1" spans="2:27" ht="21" x14ac:dyDescent="0.35">
      <c r="B1" s="88" t="s">
        <v>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7"/>
      <c r="R1" s="2"/>
      <c r="S1" s="11"/>
      <c r="T1" s="23"/>
      <c r="U1" s="23"/>
      <c r="V1" s="23"/>
      <c r="W1" s="23"/>
      <c r="X1" s="23"/>
      <c r="Y1" s="76"/>
      <c r="Z1" s="24"/>
      <c r="AA1" s="24"/>
    </row>
    <row r="2" spans="2:27" ht="21" x14ac:dyDescent="0.35">
      <c r="B2" s="88" t="s">
        <v>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7"/>
      <c r="R2" s="2"/>
      <c r="S2" s="11"/>
      <c r="T2" s="23"/>
      <c r="U2" s="23"/>
      <c r="V2" s="23"/>
      <c r="W2" s="23"/>
      <c r="X2" s="23"/>
      <c r="Y2" s="76"/>
      <c r="Z2" s="24"/>
      <c r="AA2" s="24"/>
    </row>
    <row r="3" spans="2:27" ht="15.7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7"/>
      <c r="R3" s="2"/>
      <c r="S3" s="11"/>
      <c r="T3" s="23"/>
      <c r="U3" s="23"/>
      <c r="V3" s="23"/>
      <c r="W3" s="23"/>
      <c r="X3" s="23"/>
      <c r="Y3" s="76"/>
      <c r="Z3" s="24"/>
      <c r="AA3" s="24"/>
    </row>
    <row r="4" spans="2:27" s="5" customFormat="1" ht="22.5" customHeight="1" x14ac:dyDescent="0.2">
      <c r="B4" s="87" t="s">
        <v>3</v>
      </c>
      <c r="C4" s="31"/>
      <c r="D4" s="31"/>
      <c r="E4" s="32"/>
      <c r="F4" s="12"/>
      <c r="G4" s="87" t="s">
        <v>16</v>
      </c>
      <c r="H4" s="31"/>
      <c r="I4" s="31"/>
      <c r="J4" s="31"/>
      <c r="K4" s="31"/>
      <c r="L4" s="31"/>
      <c r="M4" s="31"/>
      <c r="N4" s="31"/>
      <c r="O4" s="31"/>
      <c r="P4" s="32"/>
      <c r="Q4" s="8"/>
      <c r="R4" s="4"/>
      <c r="S4" s="30" t="s">
        <v>14</v>
      </c>
      <c r="T4" s="81"/>
      <c r="U4" s="81"/>
      <c r="V4" s="82">
        <f>VLOOKUP(E6,Z7:AA14,2)</f>
        <v>18.333333333333332</v>
      </c>
      <c r="W4" s="83"/>
      <c r="X4" s="83"/>
      <c r="Y4" s="84"/>
      <c r="Z4" s="85"/>
      <c r="AA4" s="86"/>
    </row>
    <row r="5" spans="2:27" ht="10.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7"/>
      <c r="R5" s="2"/>
      <c r="S5" s="11"/>
      <c r="T5" s="23"/>
      <c r="U5" s="23"/>
      <c r="V5" s="23"/>
      <c r="W5" s="23"/>
      <c r="X5" s="23"/>
      <c r="Y5" s="76"/>
      <c r="Z5" s="24"/>
      <c r="AA5" s="24"/>
    </row>
    <row r="6" spans="2:27" s="5" customFormat="1" ht="21.75" customHeight="1" thickBot="1" x14ac:dyDescent="0.25">
      <c r="B6" s="89" t="s">
        <v>4</v>
      </c>
      <c r="C6" s="89"/>
      <c r="D6" s="90"/>
      <c r="E6" s="72">
        <v>5</v>
      </c>
      <c r="F6" s="14"/>
      <c r="G6" s="27" t="str">
        <f>IF($H$14&gt;$E$6,"ACHTUNG -Losentscheidung:"," ")</f>
        <v xml:space="preserve"> </v>
      </c>
      <c r="H6" s="14"/>
      <c r="I6" s="16"/>
      <c r="J6" s="28" t="str">
        <f>IF($H$14&gt;$E$6,K14," ")</f>
        <v xml:space="preserve"> </v>
      </c>
      <c r="K6" s="27" t="str">
        <f>IF($H$14&gt;$E$6,"Mandat(e) auf/für"," ")</f>
        <v xml:space="preserve"> </v>
      </c>
      <c r="L6" s="27"/>
      <c r="M6" s="29"/>
      <c r="N6" s="28" t="str">
        <f>IF($H$14&gt;$E$6,H15," ")</f>
        <v xml:space="preserve"> </v>
      </c>
      <c r="O6" s="27" t="str">
        <f>IF($H$14&gt;$E$6,"Listen"," ")</f>
        <v xml:space="preserve"> </v>
      </c>
      <c r="P6" s="28"/>
      <c r="Q6" s="6"/>
      <c r="R6" s="4"/>
      <c r="S6" s="12"/>
      <c r="T6" s="78" t="str">
        <f>E9</f>
        <v>EINS</v>
      </c>
      <c r="U6" s="78" t="str">
        <f>E10</f>
        <v>SUPER</v>
      </c>
      <c r="V6" s="78" t="str">
        <f>E11</f>
        <v>BEST</v>
      </c>
      <c r="W6" s="78">
        <f>E12</f>
        <v>0</v>
      </c>
      <c r="X6" s="78">
        <f>E13</f>
        <v>0</v>
      </c>
      <c r="Y6" s="77"/>
      <c r="Z6" s="14"/>
      <c r="AA6" s="14"/>
    </row>
    <row r="7" spans="2:27" ht="18" customHeight="1" thickBot="1" x14ac:dyDescent="0.3">
      <c r="B7" s="11"/>
      <c r="C7" s="11"/>
      <c r="D7" s="11"/>
      <c r="E7" s="17"/>
      <c r="F7" s="17"/>
      <c r="G7" s="38" t="s">
        <v>17</v>
      </c>
      <c r="H7" s="37" t="s">
        <v>1</v>
      </c>
      <c r="I7" s="57" t="str">
        <f>IF($H$14&gt;$E$6,"Grundmandate"," ")</f>
        <v xml:space="preserve"> </v>
      </c>
      <c r="J7" s="62"/>
      <c r="K7" s="63"/>
      <c r="L7" s="61"/>
      <c r="M7" s="58" t="str">
        <f>IF($H$14&gt;$E$6,"Zugeloste(s) Mandat(e)"," ")</f>
        <v xml:space="preserve"> </v>
      </c>
      <c r="N7" s="56" t="str">
        <f>IF($H$14&gt;$E$6,"Endgültige Mandatsverteilung"," ")</f>
        <v xml:space="preserve"> </v>
      </c>
      <c r="O7" s="56"/>
      <c r="P7" s="56"/>
      <c r="Q7" s="6"/>
      <c r="R7" s="2"/>
      <c r="S7" s="11">
        <v>1</v>
      </c>
      <c r="T7" s="79">
        <f>E19</f>
        <v>55</v>
      </c>
      <c r="U7" s="79">
        <f>E20</f>
        <v>35</v>
      </c>
      <c r="V7" s="79">
        <f>E21</f>
        <v>22</v>
      </c>
      <c r="W7" s="79">
        <f>E22</f>
        <v>0</v>
      </c>
      <c r="X7" s="23">
        <f>E23</f>
        <v>0</v>
      </c>
      <c r="Y7" s="80"/>
      <c r="Z7" s="11">
        <v>1</v>
      </c>
      <c r="AA7" s="79">
        <f>LARGE($T$7:$X$14,Z7)</f>
        <v>55</v>
      </c>
    </row>
    <row r="8" spans="2:27" ht="18" customHeight="1" thickBot="1" x14ac:dyDescent="0.3">
      <c r="B8" s="11"/>
      <c r="C8" s="11"/>
      <c r="D8" s="11"/>
      <c r="E8" s="17"/>
      <c r="F8" s="17"/>
      <c r="G8" s="40"/>
      <c r="H8" s="51"/>
      <c r="I8" s="57"/>
      <c r="J8" s="60"/>
      <c r="K8" s="64"/>
      <c r="L8" s="59"/>
      <c r="M8" s="58"/>
      <c r="N8" s="56"/>
      <c r="O8" s="56"/>
      <c r="P8" s="56"/>
      <c r="Q8" s="6"/>
      <c r="R8" s="2"/>
      <c r="S8" s="11">
        <v>2</v>
      </c>
      <c r="T8" s="79">
        <f t="shared" ref="T8:T14" si="0">$T$7/$S8</f>
        <v>27.5</v>
      </c>
      <c r="U8" s="79">
        <f t="shared" ref="U8:U14" si="1">$U$7/$S8</f>
        <v>17.5</v>
      </c>
      <c r="V8" s="79">
        <f>$V$7/$S8</f>
        <v>11</v>
      </c>
      <c r="W8" s="79">
        <f>$W$7/$S8</f>
        <v>0</v>
      </c>
      <c r="X8" s="23">
        <f>$X$7/$S8</f>
        <v>0</v>
      </c>
      <c r="Y8" s="76"/>
      <c r="Z8" s="11">
        <v>2</v>
      </c>
      <c r="AA8" s="79">
        <f>LARGE($T$7:$X$14,Z8)</f>
        <v>35</v>
      </c>
    </row>
    <row r="9" spans="2:27" ht="18" customHeight="1" x14ac:dyDescent="0.3">
      <c r="B9" s="11"/>
      <c r="C9" s="18" t="s">
        <v>7</v>
      </c>
      <c r="D9" s="18"/>
      <c r="E9" s="73" t="s">
        <v>12</v>
      </c>
      <c r="F9" s="17"/>
      <c r="G9" s="35" t="str">
        <f>E9</f>
        <v>EINS</v>
      </c>
      <c r="H9" s="55">
        <f>ROUNDDOWN(E19/$V$4,0)</f>
        <v>3</v>
      </c>
      <c r="I9" s="68" t="str">
        <f>IF($H$14&gt;$E$6,IF(H9&gt;1,H9-1,0)," ")</f>
        <v xml:space="preserve"> </v>
      </c>
      <c r="J9" s="69" t="str">
        <f>IF($H$14&gt;$E$6,IF(H9&gt;=1,"+","-")," ")</f>
        <v xml:space="preserve"> </v>
      </c>
      <c r="K9" s="70" t="str">
        <f>IF($H$14&gt;$E$6,IF(H9&gt;=1,1,"-")," ")</f>
        <v xml:space="preserve"> </v>
      </c>
      <c r="L9" s="71" t="str">
        <f>IF($H$14&gt;$E$6,IF(H9&gt;=1,"?","-")," ")</f>
        <v xml:space="preserve"> </v>
      </c>
      <c r="M9" s="74"/>
      <c r="N9" s="52" t="str">
        <f>IF($H$14&gt;$E$6,I9+M9," ")</f>
        <v xml:space="preserve"> </v>
      </c>
      <c r="O9" s="53" t="str">
        <f t="shared" ref="O9:P9" si="2">IF($H$14&gt;$E$6,IF(N9&gt;1,N9-1,0)," ")</f>
        <v xml:space="preserve"> </v>
      </c>
      <c r="P9" s="54" t="str">
        <f t="shared" si="2"/>
        <v xml:space="preserve"> </v>
      </c>
      <c r="Q9" s="7"/>
      <c r="R9" s="2"/>
      <c r="S9" s="11">
        <v>3</v>
      </c>
      <c r="T9" s="79">
        <f t="shared" si="0"/>
        <v>18.333333333333332</v>
      </c>
      <c r="U9" s="79">
        <f t="shared" si="1"/>
        <v>11.666666666666666</v>
      </c>
      <c r="V9" s="79">
        <f t="shared" ref="V9:V14" si="3">$V$7/$S9</f>
        <v>7.333333333333333</v>
      </c>
      <c r="W9" s="79">
        <f t="shared" ref="W9:W14" si="4">$W$7/$S9</f>
        <v>0</v>
      </c>
      <c r="X9" s="23">
        <f t="shared" ref="X9:X14" si="5">$X$7/$S9</f>
        <v>0</v>
      </c>
      <c r="Y9" s="76"/>
      <c r="Z9" s="11">
        <v>3</v>
      </c>
      <c r="AA9" s="79">
        <f>LARGE($T$7:$X$14,Z9)</f>
        <v>27.5</v>
      </c>
    </row>
    <row r="10" spans="2:27" ht="18" customHeight="1" x14ac:dyDescent="0.3">
      <c r="B10" s="11"/>
      <c r="C10" s="18" t="s">
        <v>8</v>
      </c>
      <c r="D10" s="18"/>
      <c r="E10" s="73" t="s">
        <v>13</v>
      </c>
      <c r="F10" s="17"/>
      <c r="G10" s="36" t="str">
        <f t="shared" ref="G10:G13" si="6">E10</f>
        <v>SUPER</v>
      </c>
      <c r="H10" s="65">
        <f>ROUNDDOWN(E20/$V$4,0)</f>
        <v>1</v>
      </c>
      <c r="I10" s="68" t="str">
        <f>IF($H$14&gt;$E$6,IF(H10&gt;1,H10-1,0)," ")</f>
        <v xml:space="preserve"> </v>
      </c>
      <c r="J10" s="69" t="str">
        <f t="shared" ref="J10:J14" si="7">IF($H$14&gt;$E$6,IF(H10&gt;=1,"+","-")," ")</f>
        <v xml:space="preserve"> </v>
      </c>
      <c r="K10" s="70" t="str">
        <f t="shared" ref="K10:K13" si="8">IF($H$14&gt;$E$6,IF(H10&gt;=1,1,"-")," ")</f>
        <v xml:space="preserve"> </v>
      </c>
      <c r="L10" s="71" t="str">
        <f t="shared" ref="L10:L13" si="9">IF($H$14&gt;$E$6,IF(H10&gt;=1,"?","-")," ")</f>
        <v xml:space="preserve"> </v>
      </c>
      <c r="M10" s="75"/>
      <c r="N10" s="43" t="str">
        <f t="shared" ref="N10:N13" si="10">IF($H$14&gt;$E$6,I10+M10," ")</f>
        <v xml:space="preserve"> </v>
      </c>
      <c r="O10" s="42" t="str">
        <f t="shared" ref="O10:P10" si="11">IF($H$14&gt;$E$6,IF(N10&gt;1,N10-1,0)," ")</f>
        <v xml:space="preserve"> </v>
      </c>
      <c r="P10" s="44" t="str">
        <f t="shared" si="11"/>
        <v xml:space="preserve"> </v>
      </c>
      <c r="Q10" s="7"/>
      <c r="R10" s="2"/>
      <c r="S10" s="11">
        <v>4</v>
      </c>
      <c r="T10" s="79">
        <f t="shared" si="0"/>
        <v>13.75</v>
      </c>
      <c r="U10" s="79">
        <f t="shared" si="1"/>
        <v>8.75</v>
      </c>
      <c r="V10" s="79">
        <f t="shared" si="3"/>
        <v>5.5</v>
      </c>
      <c r="W10" s="79">
        <f t="shared" si="4"/>
        <v>0</v>
      </c>
      <c r="X10" s="23">
        <f t="shared" si="5"/>
        <v>0</v>
      </c>
      <c r="Y10" s="76"/>
      <c r="Z10" s="11">
        <v>4</v>
      </c>
      <c r="AA10" s="79">
        <f>LARGE($T$7:$X$14,Z10)</f>
        <v>22</v>
      </c>
    </row>
    <row r="11" spans="2:27" ht="18" customHeight="1" x14ac:dyDescent="0.3">
      <c r="B11" s="11"/>
      <c r="C11" s="18" t="s">
        <v>9</v>
      </c>
      <c r="D11" s="18"/>
      <c r="E11" s="73" t="s">
        <v>21</v>
      </c>
      <c r="F11" s="17"/>
      <c r="G11" s="36" t="str">
        <f t="shared" si="6"/>
        <v>BEST</v>
      </c>
      <c r="H11" s="65">
        <f>ROUNDDOWN(E21/$V$4,0)</f>
        <v>1</v>
      </c>
      <c r="I11" s="68" t="str">
        <f>IF($H$14&gt;$E$6,IF(H11&gt;1,H11-1,0)," ")</f>
        <v xml:space="preserve"> </v>
      </c>
      <c r="J11" s="69" t="str">
        <f t="shared" si="7"/>
        <v xml:space="preserve"> </v>
      </c>
      <c r="K11" s="70" t="str">
        <f t="shared" si="8"/>
        <v xml:space="preserve"> </v>
      </c>
      <c r="L11" s="71" t="str">
        <f t="shared" si="9"/>
        <v xml:space="preserve"> </v>
      </c>
      <c r="M11" s="75"/>
      <c r="N11" s="43" t="str">
        <f t="shared" si="10"/>
        <v xml:space="preserve"> </v>
      </c>
      <c r="O11" s="42" t="str">
        <f t="shared" ref="O11:P11" si="12">IF($H$14&gt;$E$6,IF(N11&gt;1,N11-1,0)," ")</f>
        <v xml:space="preserve"> </v>
      </c>
      <c r="P11" s="44" t="str">
        <f t="shared" si="12"/>
        <v xml:space="preserve"> </v>
      </c>
      <c r="Q11" s="7"/>
      <c r="R11" s="2"/>
      <c r="S11" s="11">
        <v>5</v>
      </c>
      <c r="T11" s="79">
        <f t="shared" si="0"/>
        <v>11</v>
      </c>
      <c r="U11" s="79">
        <f t="shared" si="1"/>
        <v>7</v>
      </c>
      <c r="V11" s="79">
        <f t="shared" si="3"/>
        <v>4.4000000000000004</v>
      </c>
      <c r="W11" s="79">
        <f t="shared" si="4"/>
        <v>0</v>
      </c>
      <c r="X11" s="23">
        <f t="shared" si="5"/>
        <v>0</v>
      </c>
      <c r="Y11" s="76"/>
      <c r="Z11" s="11">
        <v>5</v>
      </c>
      <c r="AA11" s="79">
        <f>LARGE($T$7:$X$14,Z11)</f>
        <v>18.333333333333332</v>
      </c>
    </row>
    <row r="12" spans="2:27" ht="18" customHeight="1" x14ac:dyDescent="0.3">
      <c r="B12" s="11"/>
      <c r="C12" s="18" t="s">
        <v>10</v>
      </c>
      <c r="D12" s="18"/>
      <c r="E12" s="73"/>
      <c r="F12" s="17"/>
      <c r="G12" s="39">
        <f>E12</f>
        <v>0</v>
      </c>
      <c r="H12" s="65">
        <f>ROUNDDOWN(E22/$V$4,0)</f>
        <v>0</v>
      </c>
      <c r="I12" s="68" t="str">
        <f>IF($H$14&gt;$E$6,IF(H12&gt;1,H12-1,0)," ")</f>
        <v xml:space="preserve"> </v>
      </c>
      <c r="J12" s="69" t="str">
        <f t="shared" si="7"/>
        <v xml:space="preserve"> </v>
      </c>
      <c r="K12" s="70" t="str">
        <f t="shared" si="8"/>
        <v xml:space="preserve"> </v>
      </c>
      <c r="L12" s="71" t="str">
        <f t="shared" si="9"/>
        <v xml:space="preserve"> </v>
      </c>
      <c r="M12" s="75"/>
      <c r="N12" s="43" t="str">
        <f t="shared" si="10"/>
        <v xml:space="preserve"> </v>
      </c>
      <c r="O12" s="42" t="str">
        <f t="shared" ref="O12:P12" si="13">IF($H$14&gt;$E$6,IF(N12&gt;1,N12-1,0)," ")</f>
        <v xml:space="preserve"> </v>
      </c>
      <c r="P12" s="44" t="str">
        <f t="shared" si="13"/>
        <v xml:space="preserve"> </v>
      </c>
      <c r="Q12" s="7"/>
      <c r="R12" s="2"/>
      <c r="S12" s="11">
        <v>6</v>
      </c>
      <c r="T12" s="79">
        <f t="shared" si="0"/>
        <v>9.1666666666666661</v>
      </c>
      <c r="U12" s="79">
        <f t="shared" si="1"/>
        <v>5.833333333333333</v>
      </c>
      <c r="V12" s="79">
        <f t="shared" si="3"/>
        <v>3.6666666666666665</v>
      </c>
      <c r="W12" s="79">
        <f t="shared" si="4"/>
        <v>0</v>
      </c>
      <c r="X12" s="23">
        <f t="shared" si="5"/>
        <v>0</v>
      </c>
      <c r="Y12" s="76"/>
      <c r="Z12" s="11">
        <v>6</v>
      </c>
      <c r="AA12" s="79">
        <f>LARGE($T$7:$X$14,Z12)</f>
        <v>17.5</v>
      </c>
    </row>
    <row r="13" spans="2:27" ht="18" customHeight="1" thickBot="1" x14ac:dyDescent="0.35">
      <c r="B13" s="11"/>
      <c r="C13" s="18" t="s">
        <v>11</v>
      </c>
      <c r="D13" s="18"/>
      <c r="E13" s="73"/>
      <c r="F13" s="17"/>
      <c r="G13" s="41">
        <f t="shared" si="6"/>
        <v>0</v>
      </c>
      <c r="H13" s="66">
        <f>ROUNDDOWN(E23/$V$4,0)</f>
        <v>0</v>
      </c>
      <c r="I13" s="68" t="str">
        <f>IF($H$14&gt;$E$6,IF(H13&gt;1,H13-1,0)," ")</f>
        <v xml:space="preserve"> </v>
      </c>
      <c r="J13" s="69" t="str">
        <f t="shared" si="7"/>
        <v xml:space="preserve"> </v>
      </c>
      <c r="K13" s="70" t="str">
        <f t="shared" si="8"/>
        <v xml:space="preserve"> </v>
      </c>
      <c r="L13" s="71" t="str">
        <f t="shared" si="9"/>
        <v xml:space="preserve"> </v>
      </c>
      <c r="M13" s="75"/>
      <c r="N13" s="45" t="str">
        <f t="shared" si="10"/>
        <v xml:space="preserve"> </v>
      </c>
      <c r="O13" s="46" t="str">
        <f t="shared" ref="O13:P14" si="14">IF($H$14&gt;$E$6,IF(N13&gt;1,N13-1,0)," ")</f>
        <v xml:space="preserve"> </v>
      </c>
      <c r="P13" s="47" t="str">
        <f t="shared" si="14"/>
        <v xml:space="preserve"> </v>
      </c>
      <c r="Q13" s="7"/>
      <c r="R13" s="2"/>
      <c r="S13" s="11">
        <v>7</v>
      </c>
      <c r="T13" s="79">
        <f t="shared" si="0"/>
        <v>7.8571428571428568</v>
      </c>
      <c r="U13" s="79">
        <f t="shared" si="1"/>
        <v>5</v>
      </c>
      <c r="V13" s="79">
        <f t="shared" si="3"/>
        <v>3.1428571428571428</v>
      </c>
      <c r="W13" s="79">
        <f t="shared" si="4"/>
        <v>0</v>
      </c>
      <c r="X13" s="23">
        <f t="shared" si="5"/>
        <v>0</v>
      </c>
      <c r="Y13" s="76"/>
      <c r="Z13" s="11">
        <v>7</v>
      </c>
      <c r="AA13" s="79">
        <f>LARGE($T$7:$X$14,Z13)</f>
        <v>13.75</v>
      </c>
    </row>
    <row r="14" spans="2:27" ht="18" customHeight="1" thickBot="1" x14ac:dyDescent="0.35">
      <c r="B14" s="11"/>
      <c r="C14" s="11"/>
      <c r="D14" s="11"/>
      <c r="E14" s="17"/>
      <c r="F14" s="17"/>
      <c r="G14" s="38" t="s">
        <v>19</v>
      </c>
      <c r="H14" s="67">
        <f>SUM(H9:H13)</f>
        <v>5</v>
      </c>
      <c r="I14" s="68" t="str">
        <f>IF($H$14&gt;$E$6,SUM(I9:I13)," ")</f>
        <v xml:space="preserve"> </v>
      </c>
      <c r="J14" s="69" t="str">
        <f t="shared" si="7"/>
        <v xml:space="preserve"> </v>
      </c>
      <c r="K14" s="70" t="str">
        <f>IF($H$14&gt;$E$6,IF(H14&gt;=1,E6-I14,"-")," ")</f>
        <v xml:space="preserve"> </v>
      </c>
      <c r="L14" s="71"/>
      <c r="M14" s="13"/>
      <c r="N14" s="48" t="str">
        <f>IF($H$14&gt;$E$6,SUM(N9:N13)," ")</f>
        <v xml:space="preserve"> </v>
      </c>
      <c r="O14" s="49" t="str">
        <f t="shared" si="14"/>
        <v xml:space="preserve"> </v>
      </c>
      <c r="P14" s="50" t="str">
        <f t="shared" si="14"/>
        <v xml:space="preserve"> </v>
      </c>
      <c r="Q14" s="7"/>
      <c r="R14" s="2"/>
      <c r="S14" s="11">
        <v>8</v>
      </c>
      <c r="T14" s="79">
        <f t="shared" si="0"/>
        <v>6.875</v>
      </c>
      <c r="U14" s="79">
        <f t="shared" si="1"/>
        <v>4.375</v>
      </c>
      <c r="V14" s="79">
        <f t="shared" si="3"/>
        <v>2.75</v>
      </c>
      <c r="W14" s="79">
        <f t="shared" si="4"/>
        <v>0</v>
      </c>
      <c r="X14" s="23">
        <f t="shared" si="5"/>
        <v>0</v>
      </c>
      <c r="Y14" s="76"/>
      <c r="Z14" s="11">
        <v>8</v>
      </c>
      <c r="AA14" s="79">
        <f>LARGE($T$7:$X$14,Z14)</f>
        <v>11.666666666666666</v>
      </c>
    </row>
    <row r="15" spans="2:27" ht="18" customHeight="1" x14ac:dyDescent="0.25">
      <c r="B15" s="11"/>
      <c r="C15" s="11"/>
      <c r="D15" s="11"/>
      <c r="E15" s="17" t="s">
        <v>0</v>
      </c>
      <c r="F15" s="24"/>
      <c r="G15" s="17"/>
      <c r="H15" s="25">
        <f>COUNTIF(H9:H13,"&gt;=1")</f>
        <v>3</v>
      </c>
      <c r="I15" s="11"/>
      <c r="J15" s="11"/>
      <c r="K15" s="11"/>
      <c r="L15" s="11"/>
      <c r="M15" s="11"/>
      <c r="N15" s="15"/>
      <c r="O15" s="11"/>
      <c r="P15" s="11"/>
      <c r="Q15" s="7"/>
      <c r="R15" s="2"/>
      <c r="S15" s="11"/>
      <c r="T15" s="23"/>
      <c r="U15" s="23"/>
      <c r="V15" s="23"/>
      <c r="W15" s="23"/>
      <c r="X15" s="23"/>
      <c r="Y15" s="76"/>
      <c r="Z15" s="24"/>
      <c r="AA15" s="24"/>
    </row>
    <row r="16" spans="2:27" ht="18" customHeight="1" x14ac:dyDescent="0.25">
      <c r="B16" s="11"/>
      <c r="C16" s="11" t="s">
        <v>6</v>
      </c>
      <c r="D16" s="11"/>
      <c r="E16" s="73">
        <v>115</v>
      </c>
      <c r="F16" s="24"/>
      <c r="G16" s="19"/>
      <c r="H16" s="19"/>
      <c r="I16" s="20"/>
      <c r="J16" s="20"/>
      <c r="K16" s="20"/>
      <c r="L16" s="20"/>
      <c r="M16" s="20"/>
      <c r="N16" s="20"/>
      <c r="O16" s="20"/>
      <c r="P16" s="20"/>
      <c r="Q16" s="9"/>
      <c r="R16" s="3"/>
      <c r="S16" s="11"/>
      <c r="T16" s="23"/>
      <c r="U16" s="23"/>
      <c r="V16" s="23"/>
      <c r="W16" s="23"/>
      <c r="X16" s="23"/>
      <c r="Y16" s="76"/>
      <c r="Z16" s="24"/>
      <c r="AA16" s="24"/>
    </row>
    <row r="17" spans="2:27" ht="18" customHeight="1" x14ac:dyDescent="0.25">
      <c r="B17" s="11"/>
      <c r="C17" s="11" t="s">
        <v>5</v>
      </c>
      <c r="D17" s="11"/>
      <c r="E17" s="73">
        <v>112</v>
      </c>
      <c r="F17" s="24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9"/>
      <c r="R17" s="2"/>
      <c r="S17" s="11"/>
      <c r="T17" s="23"/>
      <c r="U17" s="23"/>
      <c r="V17" s="23"/>
      <c r="W17" s="23"/>
      <c r="X17" s="23"/>
      <c r="Y17" s="76"/>
      <c r="Z17" s="24"/>
      <c r="AA17" s="24"/>
    </row>
    <row r="18" spans="2:27" ht="18" customHeight="1" x14ac:dyDescent="0.25">
      <c r="B18" s="11"/>
      <c r="C18" s="11"/>
      <c r="D18" s="11"/>
      <c r="E18" s="17"/>
      <c r="F18" s="24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9"/>
      <c r="R18" s="2"/>
      <c r="S18" s="11"/>
      <c r="T18" s="23"/>
      <c r="U18" s="23"/>
      <c r="V18" s="23"/>
      <c r="W18" s="23"/>
      <c r="X18" s="23"/>
      <c r="Y18" s="76"/>
      <c r="Z18" s="24"/>
      <c r="AA18" s="24"/>
    </row>
    <row r="19" spans="2:27" ht="18" customHeight="1" x14ac:dyDescent="0.25">
      <c r="B19" s="11"/>
      <c r="C19" s="26" t="s">
        <v>18</v>
      </c>
      <c r="D19" s="17" t="str">
        <f>E9</f>
        <v>EINS</v>
      </c>
      <c r="E19" s="73">
        <v>55</v>
      </c>
      <c r="F19" s="24"/>
      <c r="G19" s="19"/>
      <c r="H19" s="19"/>
      <c r="I19" s="20"/>
      <c r="J19" s="20"/>
      <c r="K19" s="20"/>
      <c r="L19" s="20"/>
      <c r="M19" s="20"/>
      <c r="N19" s="20"/>
      <c r="O19" s="20"/>
      <c r="P19" s="20"/>
      <c r="Q19" s="9"/>
      <c r="R19" s="2"/>
      <c r="S19" s="11"/>
      <c r="T19" s="23"/>
      <c r="U19" s="23"/>
      <c r="V19" s="23"/>
      <c r="W19" s="23"/>
      <c r="X19" s="23"/>
      <c r="Y19" s="76"/>
      <c r="Z19" s="24"/>
      <c r="AA19" s="24"/>
    </row>
    <row r="20" spans="2:27" ht="18" customHeight="1" x14ac:dyDescent="0.25">
      <c r="B20" s="11"/>
      <c r="C20" s="26" t="s">
        <v>18</v>
      </c>
      <c r="D20" s="17" t="str">
        <f t="shared" ref="D20:D23" si="15">E10</f>
        <v>SUPER</v>
      </c>
      <c r="E20" s="73">
        <v>35</v>
      </c>
      <c r="F20" s="24"/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9"/>
      <c r="R20" s="2"/>
      <c r="S20" s="11"/>
      <c r="T20" s="23"/>
      <c r="U20" s="23"/>
      <c r="V20" s="23"/>
      <c r="W20" s="23"/>
      <c r="X20" s="23"/>
      <c r="Y20" s="76"/>
      <c r="Z20" s="24"/>
      <c r="AA20" s="24"/>
    </row>
    <row r="21" spans="2:27" ht="18" customHeight="1" x14ac:dyDescent="0.25">
      <c r="B21" s="11"/>
      <c r="C21" s="26" t="s">
        <v>18</v>
      </c>
      <c r="D21" s="17" t="str">
        <f t="shared" si="15"/>
        <v>BEST</v>
      </c>
      <c r="E21" s="73">
        <v>22</v>
      </c>
      <c r="F21" s="24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10"/>
      <c r="R21" s="2"/>
      <c r="S21" s="11"/>
      <c r="T21" s="23"/>
      <c r="U21" s="23"/>
      <c r="V21" s="23"/>
      <c r="W21" s="23"/>
      <c r="X21" s="23"/>
      <c r="Y21" s="76"/>
      <c r="Z21" s="24"/>
      <c r="AA21" s="24"/>
    </row>
    <row r="22" spans="2:27" ht="18" customHeight="1" x14ac:dyDescent="0.25">
      <c r="B22" s="11"/>
      <c r="C22" s="26" t="s">
        <v>18</v>
      </c>
      <c r="D22" s="17">
        <f t="shared" si="15"/>
        <v>0</v>
      </c>
      <c r="E22" s="73">
        <v>0</v>
      </c>
      <c r="F22" s="24"/>
      <c r="G22" s="17"/>
      <c r="H22" s="17"/>
      <c r="I22" s="11"/>
      <c r="J22" s="11"/>
      <c r="K22" s="11"/>
      <c r="L22" s="11"/>
      <c r="M22" s="11"/>
      <c r="N22" s="11"/>
      <c r="O22" s="11"/>
      <c r="P22" s="11"/>
      <c r="Q22" s="7"/>
      <c r="R22" s="2"/>
      <c r="S22" s="11"/>
      <c r="T22" s="23"/>
      <c r="U22" s="23"/>
      <c r="V22" s="23"/>
      <c r="W22" s="23"/>
      <c r="X22" s="23"/>
      <c r="Y22" s="76"/>
      <c r="Z22" s="24"/>
      <c r="AA22" s="24"/>
    </row>
    <row r="23" spans="2:27" ht="18" customHeight="1" x14ac:dyDescent="0.25">
      <c r="B23" s="11"/>
      <c r="C23" s="26" t="s">
        <v>18</v>
      </c>
      <c r="D23" s="17">
        <f t="shared" si="15"/>
        <v>0</v>
      </c>
      <c r="E23" s="73">
        <v>0</v>
      </c>
      <c r="F23" s="24"/>
      <c r="G23" s="17"/>
      <c r="H23" s="17"/>
      <c r="I23" s="11"/>
      <c r="J23" s="11"/>
      <c r="K23" s="11"/>
      <c r="L23" s="11"/>
      <c r="M23" s="11"/>
      <c r="N23" s="11"/>
      <c r="O23" s="11"/>
      <c r="P23" s="11"/>
      <c r="Q23" s="7"/>
      <c r="R23" s="2"/>
      <c r="S23" s="11"/>
      <c r="T23" s="23"/>
      <c r="U23" s="23"/>
      <c r="V23" s="23"/>
      <c r="W23" s="23"/>
      <c r="X23" s="23"/>
      <c r="Y23" s="76"/>
      <c r="Z23" s="24"/>
      <c r="AA23" s="24"/>
    </row>
    <row r="24" spans="2:27" ht="18" customHeight="1" x14ac:dyDescent="0.25">
      <c r="B24" s="11"/>
      <c r="C24" s="11"/>
      <c r="D24" s="13" t="s">
        <v>20</v>
      </c>
      <c r="E24" s="17">
        <f>SUM(E19:E23)</f>
        <v>112</v>
      </c>
      <c r="F24" s="24"/>
      <c r="G24" s="11" t="str">
        <f>IF(E17&lt;&gt;E24,"ACHTUNG falsche Eingabe!","")</f>
        <v/>
      </c>
      <c r="H24" s="11"/>
      <c r="I24" s="11"/>
      <c r="J24" s="11"/>
      <c r="K24" s="11"/>
      <c r="L24" s="11"/>
      <c r="M24" s="11"/>
      <c r="N24" s="11"/>
      <c r="O24" s="11"/>
      <c r="P24" s="11"/>
      <c r="Q24" s="7"/>
      <c r="R24" s="2"/>
      <c r="S24" s="11"/>
      <c r="T24" s="23"/>
      <c r="U24" s="23"/>
      <c r="V24" s="23"/>
      <c r="W24" s="23"/>
      <c r="X24" s="23"/>
      <c r="Y24" s="76"/>
      <c r="Z24" s="24"/>
      <c r="AA24" s="24"/>
    </row>
    <row r="25" spans="2:27" ht="18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27" ht="18" customHeight="1" x14ac:dyDescent="0.2"/>
    <row r="27" spans="2:27" ht="18" customHeight="1" x14ac:dyDescent="0.2">
      <c r="H27" s="34"/>
    </row>
    <row r="28" spans="2:27" ht="18" customHeight="1" x14ac:dyDescent="0.2"/>
    <row r="29" spans="2:27" ht="18" customHeight="1" x14ac:dyDescent="0.2"/>
    <row r="30" spans="2:27" ht="18" customHeight="1" x14ac:dyDescent="0.2">
      <c r="G30" s="33"/>
    </row>
    <row r="31" spans="2:27" ht="18" customHeight="1" x14ac:dyDescent="0.2"/>
    <row r="32" spans="2:27" ht="18" customHeight="1" x14ac:dyDescent="0.2"/>
    <row r="33" ht="18" customHeight="1" x14ac:dyDescent="0.2"/>
    <row r="34" ht="18" customHeight="1" x14ac:dyDescent="0.2"/>
    <row r="35" ht="18" customHeight="1" x14ac:dyDescent="0.2"/>
  </sheetData>
  <sheetProtection algorithmName="SHA-512" hashValue="1JsQU4CkzNUY//3byqL/kK06g6ghhTgTcRgRyZMUYJAFTsRbmLFab7K5qhoXpKiL6D8CexhyZcBlB8HLcYBMOA==" saltValue="KHfM2mZm3pePuuKXljQOSQ==" spinCount="100000" sheet="1" objects="1" scenarios="1"/>
  <mergeCells count="17">
    <mergeCell ref="B1:P1"/>
    <mergeCell ref="B2:P2"/>
    <mergeCell ref="B6:D6"/>
    <mergeCell ref="N9:P9"/>
    <mergeCell ref="N10:P10"/>
    <mergeCell ref="N11:P11"/>
    <mergeCell ref="N12:P12"/>
    <mergeCell ref="N13:P13"/>
    <mergeCell ref="N14:P14"/>
    <mergeCell ref="M7:M8"/>
    <mergeCell ref="I7:I8"/>
    <mergeCell ref="N7:P8"/>
    <mergeCell ref="C9:D9"/>
    <mergeCell ref="C10:D10"/>
    <mergeCell ref="C11:D11"/>
    <mergeCell ref="C12:D12"/>
    <mergeCell ref="C13:D13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 2014</vt:lpstr>
      <vt:lpstr>Tabelle3</vt:lpstr>
    </vt:vector>
  </TitlesOfParts>
  <Company>Landesschulrat Vorarlberg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mbrueckn</dc:creator>
  <cp:lastModifiedBy>Manfred Sparr</cp:lastModifiedBy>
  <cp:lastPrinted>2009-11-29T15:22:52Z</cp:lastPrinted>
  <dcterms:created xsi:type="dcterms:W3CDTF">2006-05-18T09:38:24Z</dcterms:created>
  <dcterms:modified xsi:type="dcterms:W3CDTF">2014-11-26T18:11:55Z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-1680969089</vt:i4>
  </property>
  <property fmtid="{D5CDD505-2E9C-101B-9397-08002B2CF9AE}" pid="3" name="_EmailSubject">
    <vt:lpwstr>Liste AHS BMHS</vt:lpwstr>
  </property>
  <property fmtid="{D5CDD505-2E9C-101B-9397-08002B2CF9AE}" pid="4" name="_AuthorEmail">
    <vt:lpwstr>Susanne.Klarica@lsr-vbg.gv.at</vt:lpwstr>
  </property>
  <property fmtid="{D5CDD505-2E9C-101B-9397-08002B2CF9AE}" pid="5" name="_AuthorEmailDisplayName">
    <vt:lpwstr>Klarica Susanne (LSR)</vt:lpwstr>
  </property>
  <property fmtid="{D5CDD505-2E9C-101B-9397-08002B2CF9AE}" pid="6" name="_ReviewingToolsShownOnce">
    <vt:lpwstr/>
  </property>
</Properties>
</file>